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swimming\Pace Charts LCM\"/>
    </mc:Choice>
  </mc:AlternateContent>
  <bookViews>
    <workbookView xWindow="0" yWindow="0" windowWidth="16092" windowHeight="6240"/>
  </bookViews>
  <sheets>
    <sheet name="Swimmer 1" sheetId="1" r:id="rId1"/>
  </sheets>
  <definedNames>
    <definedName name="_xlnm._FilterDatabase" localSheetId="0" hidden="1">'Swimmer 1'!$A$1:$J$37</definedName>
    <definedName name="_xlnm.Criteria" localSheetId="0">'Swimmer 1'!$C$2:$C$37</definedName>
  </definedNames>
  <calcPr calcId="171027"/>
</workbook>
</file>

<file path=xl/calcChain.xml><?xml version="1.0" encoding="utf-8"?>
<calcChain xmlns="http://schemas.openxmlformats.org/spreadsheetml/2006/main">
  <c r="J37" i="1" l="1"/>
  <c r="J36" i="1"/>
  <c r="D36" i="1" s="1"/>
  <c r="E36" i="1" s="1"/>
  <c r="J34" i="1"/>
  <c r="J33" i="1"/>
  <c r="G33" i="1" s="1"/>
  <c r="H33" i="1" s="1"/>
  <c r="F33" i="1" s="1"/>
  <c r="E33" i="1" s="1"/>
  <c r="D33" i="1" s="1"/>
  <c r="J31" i="1"/>
  <c r="D31" i="1" s="1"/>
  <c r="J30" i="1"/>
  <c r="D30" i="1" s="1"/>
  <c r="J28" i="1"/>
  <c r="F28" i="1" s="1"/>
  <c r="J27" i="1"/>
  <c r="G27" i="1" s="1"/>
  <c r="H27" i="1" s="1"/>
  <c r="J25" i="1"/>
  <c r="J24" i="1"/>
  <c r="D24" i="1" s="1"/>
  <c r="E24" i="1" s="1"/>
  <c r="J22" i="1"/>
  <c r="J21" i="1"/>
  <c r="F21" i="1" s="1"/>
  <c r="J19" i="1"/>
  <c r="D19" i="1" s="1"/>
  <c r="F19" i="1" s="1"/>
  <c r="J18" i="1"/>
  <c r="D18" i="1" s="1"/>
  <c r="G18" i="1" s="1"/>
  <c r="J15" i="1"/>
  <c r="D15" i="1" s="1"/>
  <c r="G15" i="1" s="1"/>
  <c r="J16" i="1"/>
  <c r="D16" i="1" s="1"/>
  <c r="F16" i="1" s="1"/>
  <c r="J13" i="1"/>
  <c r="D13" i="1" s="1"/>
  <c r="F13" i="1" s="1"/>
  <c r="J12" i="1"/>
  <c r="G12" i="1" s="1"/>
  <c r="J10" i="1"/>
  <c r="D10" i="1" s="1"/>
  <c r="F10" i="1" s="1"/>
  <c r="J9" i="1"/>
  <c r="D9" i="1" s="1"/>
  <c r="F9" i="1" s="1"/>
  <c r="J7" i="1"/>
  <c r="G7" i="1" s="1"/>
  <c r="E7" i="1" s="1"/>
  <c r="D7" i="1" s="1"/>
  <c r="J6" i="1"/>
  <c r="G6" i="1" s="1"/>
  <c r="J4" i="1"/>
  <c r="F4" i="1" s="1"/>
  <c r="E4" i="1" s="1"/>
  <c r="D4" i="1" s="1"/>
  <c r="J3" i="1"/>
  <c r="F3" i="1" s="1"/>
  <c r="E3" i="1" s="1"/>
  <c r="F36" i="1" l="1"/>
  <c r="F24" i="1"/>
  <c r="E18" i="1"/>
  <c r="G28" i="1"/>
  <c r="F18" i="1"/>
  <c r="E15" i="1"/>
  <c r="E30" i="1"/>
  <c r="F30" i="1"/>
  <c r="F15" i="1"/>
  <c r="E16" i="1"/>
  <c r="E19" i="1"/>
  <c r="E31" i="1"/>
  <c r="F31" i="1"/>
  <c r="D12" i="1"/>
  <c r="F12" i="1" s="1"/>
  <c r="F27" i="1"/>
  <c r="E27" i="1"/>
  <c r="D27" i="1" s="1"/>
  <c r="G36" i="1"/>
  <c r="H36" i="1" s="1"/>
  <c r="G30" i="1"/>
  <c r="H30" i="1" s="1"/>
  <c r="G24" i="1"/>
  <c r="H24" i="1" s="1"/>
  <c r="G19" i="1"/>
  <c r="E21" i="1"/>
  <c r="D21" i="1" s="1"/>
  <c r="G21" i="1"/>
  <c r="H21" i="1" s="1"/>
  <c r="G9" i="1"/>
  <c r="H9" i="1" s="1"/>
  <c r="E9" i="1"/>
  <c r="H6" i="1"/>
  <c r="E6" i="1"/>
  <c r="F6" i="1" s="1"/>
  <c r="G3" i="1"/>
  <c r="D3" i="1"/>
  <c r="G16" i="1"/>
  <c r="G13" i="1"/>
  <c r="G10" i="1"/>
  <c r="H10" i="1" s="1"/>
  <c r="E10" i="1"/>
  <c r="G31" i="1"/>
  <c r="H31" i="1" s="1"/>
  <c r="G34" i="1"/>
  <c r="H34" i="1" s="1"/>
  <c r="F34" i="1" s="1"/>
  <c r="E34" i="1" s="1"/>
  <c r="D34" i="1" s="1"/>
  <c r="E28" i="1"/>
  <c r="D28" i="1" s="1"/>
  <c r="H28" i="1"/>
  <c r="E22" i="1"/>
  <c r="D22" i="1" s="1"/>
  <c r="G22" i="1"/>
  <c r="H22" i="1" s="1"/>
  <c r="F22" i="1"/>
  <c r="D37" i="1"/>
  <c r="D25" i="1"/>
  <c r="G4" i="1"/>
  <c r="E37" i="1" l="1"/>
  <c r="F37" i="1"/>
  <c r="E25" i="1"/>
  <c r="F25" i="1"/>
  <c r="D6" i="1"/>
  <c r="G25" i="1"/>
  <c r="H25" i="1" s="1"/>
  <c r="G37" i="1"/>
  <c r="H37" i="1" s="1"/>
  <c r="H7" i="1"/>
  <c r="F7" i="1" l="1"/>
  <c r="E13" i="1" l="1"/>
  <c r="H13" i="1" l="1"/>
  <c r="E12" i="1"/>
  <c r="H12" i="1"/>
</calcChain>
</file>

<file path=xl/sharedStrings.xml><?xml version="1.0" encoding="utf-8"?>
<sst xmlns="http://schemas.openxmlformats.org/spreadsheetml/2006/main" count="71" uniqueCount="24">
  <si>
    <t>200 BREAST</t>
  </si>
  <si>
    <t>Start 15m</t>
  </si>
  <si>
    <t>100 BREAST</t>
  </si>
  <si>
    <t>200 BACK</t>
  </si>
  <si>
    <t>100 BACK</t>
  </si>
  <si>
    <t>200 FLY</t>
  </si>
  <si>
    <t>100 FLY</t>
  </si>
  <si>
    <t>200 FREE</t>
  </si>
  <si>
    <t>100 FREE</t>
  </si>
  <si>
    <t>50 FREE</t>
  </si>
  <si>
    <t>Turn 10m</t>
  </si>
  <si>
    <t>Pace 25m</t>
  </si>
  <si>
    <t>Start 25m</t>
  </si>
  <si>
    <t>Start 50m</t>
  </si>
  <si>
    <t>Pace 50m</t>
  </si>
  <si>
    <t>Pace 75m</t>
  </si>
  <si>
    <t>Pace 100m</t>
  </si>
  <si>
    <t>Start 100m</t>
  </si>
  <si>
    <t>Pace 150m</t>
  </si>
  <si>
    <t>400 FREE</t>
  </si>
  <si>
    <t>800 FREE</t>
  </si>
  <si>
    <t>1500 FREE</t>
  </si>
  <si>
    <t>SCM EVENT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</si>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</sst>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&quot;:&quot;##&quot;.&quot;00"/>
    <numFmt numFmtId="166" formatCode="#,##0.0"/>
    <numFmt numFmtId="167" formatCode="#&quot;:&quot;##&quot;.&quot;0"/>
  </numFmts>
  <fonts count="5" x14ac:knownFonts="1">
    <font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Trellis"/>
    </fill>
    <fill>
      <patternFill patternType="lightTrellis">
        <bgColor theme="1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2" borderId="0" xfId="0" applyNumberFormat="1" applyFill="1"/>
    <xf numFmtId="164" fontId="0" fillId="0" borderId="0" xfId="0" applyNumberFormat="1"/>
    <xf numFmtId="165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textRotation="90"/>
    </xf>
    <xf numFmtId="164" fontId="0" fillId="0" borderId="1" xfId="0" applyNumberFormat="1" applyBorder="1"/>
    <xf numFmtId="165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textRotation="90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5" fontId="3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5" fontId="1" fillId="4" borderId="7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 shrinkToFit="1"/>
    </xf>
    <xf numFmtId="0" fontId="2" fillId="0" borderId="5" xfId="0" applyFont="1" applyBorder="1" applyAlignment="1">
      <alignment horizontal="center" vertical="center" textRotation="90" shrinkToFi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C8" sqref="C8"/>
    </sheetView>
  </sheetViews>
  <sheetFormatPr defaultRowHeight="14.4" x14ac:dyDescent="0.3"/>
  <cols>
    <col min="1" max="1" width="9.109375" style="5"/>
    <col min="2" max="2" width="11.6640625" style="4" customWidth="1"/>
    <col min="3" max="3" width="9.44140625" style="3" customWidth="1"/>
    <col min="4" max="8" width="10.6640625" style="2" customWidth="1"/>
    <col min="10" max="10" width="9.109375" style="1" hidden="1" customWidth="1"/>
  </cols>
  <sheetData>
    <row r="1" spans="1:14" ht="12.9" customHeight="1" thickTop="1" thickBot="1" x14ac:dyDescent="0.35">
      <c r="A1" s="26"/>
      <c r="B1" s="13" t="s">
        <v>22</v>
      </c>
      <c r="C1" s="12" t="s">
        <v>23</v>
      </c>
      <c r="D1" s="11">
        <v>1</v>
      </c>
      <c r="E1" s="11">
        <v>2</v>
      </c>
      <c r="F1" s="11">
        <v>3</v>
      </c>
      <c r="G1" s="11">
        <v>4</v>
      </c>
      <c r="H1" s="10">
        <v>5</v>
      </c>
    </row>
    <row r="2" spans="1:14" ht="12.9" customHeight="1" thickTop="1" x14ac:dyDescent="0.3">
      <c r="A2" s="27"/>
      <c r="B2" s="28" t="s">
        <v>9</v>
      </c>
      <c r="C2" s="17"/>
      <c r="D2" s="18" t="s">
        <v>1</v>
      </c>
      <c r="E2" s="18" t="s">
        <v>12</v>
      </c>
      <c r="F2" s="18" t="s">
        <v>11</v>
      </c>
      <c r="G2" s="18" t="s">
        <v>10</v>
      </c>
      <c r="H2" s="19"/>
    </row>
    <row r="3" spans="1:14" ht="12.9" customHeight="1" x14ac:dyDescent="0.3">
      <c r="A3" s="27"/>
      <c r="B3" s="29"/>
      <c r="C3" s="23">
        <v>3100</v>
      </c>
      <c r="D3" s="14">
        <f>0.6*E3-0.1</f>
        <v>8.871245</v>
      </c>
      <c r="E3" s="14">
        <f>J3-F3</f>
        <v>14.952075000000001</v>
      </c>
      <c r="F3" s="14">
        <f>(J3*1.03535)/2</f>
        <v>16.047924999999999</v>
      </c>
      <c r="G3" s="14">
        <f>0.2*E3+0.2*F3</f>
        <v>6.2000000000000011</v>
      </c>
      <c r="H3" s="15"/>
      <c r="J3" s="1">
        <f>INT(C3/10000)*60+(C3-INT(C3/10000)*10000)/100</f>
        <v>31</v>
      </c>
    </row>
    <row r="4" spans="1:14" ht="12.9" customHeight="1" thickBot="1" x14ac:dyDescent="0.35">
      <c r="A4" s="27"/>
      <c r="B4" s="30"/>
      <c r="C4" s="24">
        <v>3000</v>
      </c>
      <c r="D4" s="14">
        <f>0.6*E4-0.1</f>
        <v>8.5818499999999993</v>
      </c>
      <c r="E4" s="14">
        <f>J4-F4</f>
        <v>14.469749999999999</v>
      </c>
      <c r="F4" s="14">
        <f>(J4*1.03535)/2</f>
        <v>15.530250000000001</v>
      </c>
      <c r="G4" s="14">
        <f>0.2*E4+0.2*F4</f>
        <v>6</v>
      </c>
      <c r="H4" s="15"/>
      <c r="J4" s="1">
        <f>INT(C4/10000)*60+(C4-INT(C4/10000)*10000)/100</f>
        <v>30</v>
      </c>
      <c r="N4" s="2"/>
    </row>
    <row r="5" spans="1:14" ht="12.9" customHeight="1" thickTop="1" x14ac:dyDescent="0.3">
      <c r="A5" s="27"/>
      <c r="B5" s="28" t="s">
        <v>8</v>
      </c>
      <c r="C5" s="25"/>
      <c r="D5" s="18" t="s">
        <v>1</v>
      </c>
      <c r="E5" s="18" t="s">
        <v>12</v>
      </c>
      <c r="F5" s="18" t="s">
        <v>13</v>
      </c>
      <c r="G5" s="18" t="s">
        <v>11</v>
      </c>
      <c r="H5" s="19" t="s">
        <v>14</v>
      </c>
    </row>
    <row r="6" spans="1:14" ht="12.9" customHeight="1" x14ac:dyDescent="0.3">
      <c r="A6" s="27"/>
      <c r="B6" s="29"/>
      <c r="C6" s="23">
        <v>11503</v>
      </c>
      <c r="D6" s="14">
        <f>0.6*E6-0.1</f>
        <v>10.434499999999998</v>
      </c>
      <c r="E6" s="14">
        <f>G6-1.6</f>
        <v>17.557499999999997</v>
      </c>
      <c r="F6" s="14">
        <f>E6+G6</f>
        <v>36.714999999999996</v>
      </c>
      <c r="G6" s="14">
        <f>(J6+1.6)/4</f>
        <v>19.157499999999999</v>
      </c>
      <c r="H6" s="15">
        <f>2*G6</f>
        <v>38.314999999999998</v>
      </c>
      <c r="J6" s="1">
        <f>INT(C6/10000)*60+(C6-INT(C6/10000)*10000)/100</f>
        <v>75.03</v>
      </c>
    </row>
    <row r="7" spans="1:14" ht="12.9" customHeight="1" thickBot="1" x14ac:dyDescent="0.35">
      <c r="A7" s="27"/>
      <c r="B7" s="30"/>
      <c r="C7" s="24">
        <v>111003</v>
      </c>
      <c r="D7" s="14">
        <f>0.6*E7-0.1</f>
        <v>99.6845</v>
      </c>
      <c r="E7" s="14">
        <f>G7-1.6</f>
        <v>166.3075</v>
      </c>
      <c r="F7" s="14">
        <f>E7+G7</f>
        <v>334.21500000000003</v>
      </c>
      <c r="G7" s="14">
        <f>(J7+1.6)/4</f>
        <v>167.9075</v>
      </c>
      <c r="H7" s="15">
        <f>2*G7</f>
        <v>335.815</v>
      </c>
      <c r="J7" s="1">
        <f>INT(C7/10000)*60+(C7-INT(C7/10000)*10000)/100</f>
        <v>670.03</v>
      </c>
    </row>
    <row r="8" spans="1:14" ht="12.9" customHeight="1" thickTop="1" x14ac:dyDescent="0.3">
      <c r="A8" s="27"/>
      <c r="B8" s="28" t="s">
        <v>7</v>
      </c>
      <c r="C8" s="25"/>
      <c r="D8" s="20" t="s">
        <v>14</v>
      </c>
      <c r="E8" s="20" t="s">
        <v>15</v>
      </c>
      <c r="F8" s="20" t="s">
        <v>16</v>
      </c>
      <c r="G8" s="20" t="s">
        <v>13</v>
      </c>
      <c r="H8" s="21" t="s">
        <v>17</v>
      </c>
    </row>
    <row r="9" spans="1:14" ht="12.9" customHeight="1" x14ac:dyDescent="0.3">
      <c r="A9" s="27"/>
      <c r="B9" s="29"/>
      <c r="C9" s="23">
        <v>21603</v>
      </c>
      <c r="D9" s="14">
        <f>(J9+1.7)/4</f>
        <v>34.432499999999997</v>
      </c>
      <c r="E9" s="14">
        <f>1.5*D9</f>
        <v>51.648749999999993</v>
      </c>
      <c r="F9" s="22">
        <f>INT((D9*2)/59.949)*1000+IF((D9*2)&gt;=59.949,((D9*2)*10-600),10*(D9*2))</f>
        <v>1088.6500000000001</v>
      </c>
      <c r="G9" s="14">
        <f>D9-1.7</f>
        <v>32.732499999999995</v>
      </c>
      <c r="H9" s="22">
        <f>INT((D9+G9)/59.949)*1000+IF((D9+G9)&gt;=59.949,((D9+G9)*10-600),10*(D9+G9))</f>
        <v>1071.6499999999999</v>
      </c>
      <c r="J9" s="1">
        <f>INT(C9/10000)*60+(C9-INT(C9/10000)*10000)/100</f>
        <v>136.03</v>
      </c>
    </row>
    <row r="10" spans="1:14" ht="12.9" customHeight="1" thickBot="1" x14ac:dyDescent="0.35">
      <c r="A10" s="27"/>
      <c r="B10" s="30"/>
      <c r="C10" s="24">
        <v>20859</v>
      </c>
      <c r="D10" s="14">
        <f>(J10+1.7)/4</f>
        <v>32.572499999999998</v>
      </c>
      <c r="E10" s="14">
        <f>1.5*D10</f>
        <v>48.858750000000001</v>
      </c>
      <c r="F10" s="22">
        <f>INT((D10*2)/59.949)*1000+IF((D10*2)&gt;=59.949,((D10*2)*10-600),10*(D10*2))</f>
        <v>1051.4499999999998</v>
      </c>
      <c r="G10" s="14">
        <f>D10-1.7</f>
        <v>30.872499999999999</v>
      </c>
      <c r="H10" s="22">
        <f>INT((D10+G10)/59.949)*1000+IF((D10+G10)&gt;=59.949,((D10+G10)*10-600),10*(D10+G10))</f>
        <v>1034.4499999999998</v>
      </c>
      <c r="J10" s="1">
        <f>INT(C10/10000)*60+(C10-INT(C10/10000)*10000)/100</f>
        <v>128.59</v>
      </c>
    </row>
    <row r="11" spans="1:14" ht="12.9" customHeight="1" thickTop="1" x14ac:dyDescent="0.3">
      <c r="A11" s="27"/>
      <c r="B11" s="28" t="s">
        <v>19</v>
      </c>
      <c r="C11" s="25"/>
      <c r="D11" s="20" t="s">
        <v>14</v>
      </c>
      <c r="E11" s="20" t="s">
        <v>15</v>
      </c>
      <c r="F11" s="20" t="s">
        <v>16</v>
      </c>
      <c r="G11" s="20" t="s">
        <v>13</v>
      </c>
      <c r="H11" s="21" t="s">
        <v>17</v>
      </c>
    </row>
    <row r="12" spans="1:14" ht="12.9" customHeight="1" x14ac:dyDescent="0.3">
      <c r="A12" s="27"/>
      <c r="B12" s="29"/>
      <c r="C12" s="23">
        <v>45985</v>
      </c>
      <c r="D12" s="14">
        <f>(J12+1.7)/8</f>
        <v>37.693750000000001</v>
      </c>
      <c r="E12" s="14">
        <f>D12*1.5</f>
        <v>56.540625000000006</v>
      </c>
      <c r="F12" s="22">
        <f>INT((D12*2)/59.949)*1000+IF((D12*2)&gt;=59.949,((D12*2)*10-600),10*(D12*2))</f>
        <v>1153.875</v>
      </c>
      <c r="G12" s="14">
        <f>(J12+1.7)/8-1.7</f>
        <v>35.993749999999999</v>
      </c>
      <c r="H12" s="22">
        <f>INT((D12+G12)/59.949)*1000+IF((D12+G12)&gt;=59.949,((D12+G12)*10-600),10*(D12+G12))</f>
        <v>1136.875</v>
      </c>
      <c r="J12" s="1">
        <f>INT(C12/10000)*60+(C12-INT(C12/10000)*10000)/100</f>
        <v>299.85000000000002</v>
      </c>
    </row>
    <row r="13" spans="1:14" ht="12.9" customHeight="1" thickBot="1" x14ac:dyDescent="0.35">
      <c r="A13" s="27"/>
      <c r="B13" s="30"/>
      <c r="C13" s="24">
        <v>44349</v>
      </c>
      <c r="D13" s="14">
        <f>(J13+1.7)/8</f>
        <v>35.64875</v>
      </c>
      <c r="E13" s="14">
        <f>D13*1.5</f>
        <v>53.473124999999996</v>
      </c>
      <c r="F13" s="22">
        <f>INT((D13*2)/59.949)*1000+IF((D13*2)&gt;=59.949,((D13*2)*10-600),10*(D13*2))</f>
        <v>1112.9749999999999</v>
      </c>
      <c r="G13" s="14">
        <f>(J13+1.7)/8-1.7</f>
        <v>33.948749999999997</v>
      </c>
      <c r="H13" s="22">
        <f>INT((D13+G13)/59.949)*1000+IF((D13+G13)&gt;=59.949,((D13+G13)*10-600),10*(D13+G13))</f>
        <v>1095.9749999999999</v>
      </c>
      <c r="J13" s="1">
        <f>INT(C13/10000)*60+(C13-INT(C13/10000)*10000)/100</f>
        <v>283.49</v>
      </c>
    </row>
    <row r="14" spans="1:14" ht="12.9" customHeight="1" thickTop="1" x14ac:dyDescent="0.3">
      <c r="A14" s="27"/>
      <c r="B14" s="28" t="s">
        <v>20</v>
      </c>
      <c r="C14" s="25"/>
      <c r="D14" s="20" t="s">
        <v>14</v>
      </c>
      <c r="E14" s="20" t="s">
        <v>16</v>
      </c>
      <c r="F14" s="20" t="s">
        <v>18</v>
      </c>
      <c r="G14" s="20" t="s">
        <v>13</v>
      </c>
      <c r="H14" s="21"/>
    </row>
    <row r="15" spans="1:14" ht="12.9" customHeight="1" x14ac:dyDescent="0.3">
      <c r="A15" s="27"/>
      <c r="B15" s="29"/>
      <c r="C15" s="23">
        <v>104899</v>
      </c>
      <c r="D15" s="14">
        <f>(J15+1.7)/16</f>
        <v>40.668125000000003</v>
      </c>
      <c r="E15" s="22">
        <f>INT((D15*2)/59.949)*1000+IF((D15*2)&gt;=59.949,((D15*2)*10-600),10*(D15*2))</f>
        <v>1213.3625000000002</v>
      </c>
      <c r="F15" s="22">
        <f>INT((D15*3)/59.949)*1000+IF((D15*3)&gt;=59.949,((D15*3)*10-600),10*(D15*3))</f>
        <v>2620.0437499999998</v>
      </c>
      <c r="G15" s="14">
        <f>D15-1.7</f>
        <v>38.968125000000001</v>
      </c>
      <c r="H15" s="15"/>
      <c r="J15" s="1">
        <f>INT(C15/10000)*60+(C15-INT(C15/10000)*10000)/100</f>
        <v>648.99</v>
      </c>
    </row>
    <row r="16" spans="1:14" ht="12.9" customHeight="1" thickBot="1" x14ac:dyDescent="0.35">
      <c r="A16" s="27"/>
      <c r="B16" s="30"/>
      <c r="C16" s="24">
        <v>93409</v>
      </c>
      <c r="D16" s="14">
        <f>(J16+1.7)/16</f>
        <v>35.986875000000005</v>
      </c>
      <c r="E16" s="22">
        <f>INT((D16*2)/59.949)*1000+IF((D16*2)&gt;=59.949,((D16*2)*10-600),10*(D16*2))</f>
        <v>1119.7375000000002</v>
      </c>
      <c r="F16" s="22">
        <f>INT((D16*3)/59.949)*1000+IF((D16*3)&gt;=59.949,((D16*3)*10-600),10*(D16*3))</f>
        <v>1479.6062500000003</v>
      </c>
      <c r="G16" s="14">
        <f>D16-1.7</f>
        <v>34.286875000000002</v>
      </c>
      <c r="H16" s="15"/>
      <c r="J16" s="1">
        <f>INT(C16/10000)*60+(C16-INT(C16/10000)*10000)/100</f>
        <v>574.09</v>
      </c>
    </row>
    <row r="17" spans="1:10" ht="12.9" customHeight="1" thickTop="1" x14ac:dyDescent="0.3">
      <c r="A17" s="27"/>
      <c r="B17" s="28" t="s">
        <v>21</v>
      </c>
      <c r="C17" s="25"/>
      <c r="D17" s="20" t="s">
        <v>14</v>
      </c>
      <c r="E17" s="20" t="s">
        <v>16</v>
      </c>
      <c r="F17" s="20" t="s">
        <v>18</v>
      </c>
      <c r="G17" s="20" t="s">
        <v>13</v>
      </c>
      <c r="H17" s="21"/>
    </row>
    <row r="18" spans="1:10" ht="12.9" customHeight="1" x14ac:dyDescent="0.3">
      <c r="A18" s="27"/>
      <c r="B18" s="29"/>
      <c r="C18" s="23">
        <v>203289</v>
      </c>
      <c r="D18" s="14">
        <f>(J18+2)/30</f>
        <v>41.163000000000004</v>
      </c>
      <c r="E18" s="22">
        <f>INT((D18*2)/59.949)*1000+IF((D18*2)&gt;=59.949,((D18*2)*10-600),10*(D18*2))</f>
        <v>1223.2600000000002</v>
      </c>
      <c r="F18" s="22">
        <f>INT((D18*3)/59.949)*1000+IF((D18*3)&gt;=59.949,((D18*3)*10-600),10*(D18*3))</f>
        <v>2634.8900000000003</v>
      </c>
      <c r="G18" s="14">
        <f>D18-2</f>
        <v>39.163000000000004</v>
      </c>
      <c r="H18" s="15"/>
      <c r="J18" s="1">
        <f>INT(C18/10000)*60+(C18-INT(C18/10000)*10000)/100</f>
        <v>1232.8900000000001</v>
      </c>
    </row>
    <row r="19" spans="1:10" ht="12.9" customHeight="1" thickBot="1" x14ac:dyDescent="0.35">
      <c r="A19" s="27"/>
      <c r="B19" s="30"/>
      <c r="C19" s="24">
        <v>200000</v>
      </c>
      <c r="D19" s="14">
        <f>(J19+2)/30</f>
        <v>40.06666666666667</v>
      </c>
      <c r="E19" s="22">
        <f>INT((D19*2)/59.949)*1000+IF((D19*2)&gt;=59.949,((D19*2)*10-600),10*(D19*2))</f>
        <v>1201.3333333333335</v>
      </c>
      <c r="F19" s="22">
        <f>INT((D19*3)/59.949)*1000+IF((D19*3)&gt;=59.949,((D19*3)*10-600),10*(D19*3))</f>
        <v>2602</v>
      </c>
      <c r="G19" s="14">
        <f>D19-2</f>
        <v>38.06666666666667</v>
      </c>
      <c r="H19" s="15"/>
      <c r="J19" s="1">
        <f>INT(C19/10000)*60+(C19-INT(C19/10000)*10000)/100</f>
        <v>1200</v>
      </c>
    </row>
    <row r="20" spans="1:10" ht="12.9" customHeight="1" thickTop="1" x14ac:dyDescent="0.3">
      <c r="A20" s="27"/>
      <c r="B20" s="28" t="s">
        <v>6</v>
      </c>
      <c r="C20" s="25"/>
      <c r="D20" s="20" t="s">
        <v>1</v>
      </c>
      <c r="E20" s="20" t="s">
        <v>12</v>
      </c>
      <c r="F20" s="20" t="s">
        <v>13</v>
      </c>
      <c r="G20" s="20" t="s">
        <v>11</v>
      </c>
      <c r="H20" s="21" t="s">
        <v>14</v>
      </c>
    </row>
    <row r="21" spans="1:10" ht="12.9" customHeight="1" x14ac:dyDescent="0.3">
      <c r="A21" s="27"/>
      <c r="B21" s="29"/>
      <c r="C21" s="23">
        <v>10525</v>
      </c>
      <c r="D21" s="14">
        <f>0.6*E21-0.3</f>
        <v>8.5874999999999986</v>
      </c>
      <c r="E21" s="14">
        <f>(J21-6)/4</f>
        <v>14.8125</v>
      </c>
      <c r="F21" s="14">
        <f>(J21-2)/2</f>
        <v>31.625</v>
      </c>
      <c r="G21" s="14">
        <f>(J21+2)/4</f>
        <v>16.8125</v>
      </c>
      <c r="H21" s="15">
        <f>G21*2</f>
        <v>33.625</v>
      </c>
      <c r="J21" s="1">
        <f>INT(C21/10000)*60+(C21-INT(C21/10000)*10000)/100</f>
        <v>65.25</v>
      </c>
    </row>
    <row r="22" spans="1:10" ht="12.9" customHeight="1" thickBot="1" x14ac:dyDescent="0.35">
      <c r="A22" s="27"/>
      <c r="B22" s="30"/>
      <c r="C22" s="24">
        <v>5999</v>
      </c>
      <c r="D22" s="14">
        <f>0.6*E22-0.3</f>
        <v>7.7984999999999998</v>
      </c>
      <c r="E22" s="14">
        <f>(J22-6)/4</f>
        <v>13.4975</v>
      </c>
      <c r="F22" s="14">
        <f>(J22-2)/2</f>
        <v>28.995000000000001</v>
      </c>
      <c r="G22" s="14">
        <f>(J22+2)/4</f>
        <v>15.4975</v>
      </c>
      <c r="H22" s="15">
        <f>G22*2</f>
        <v>30.995000000000001</v>
      </c>
      <c r="J22" s="1">
        <f>INT(C22/10000)*60+(C22-INT(C22/10000)*10000)/100</f>
        <v>59.99</v>
      </c>
    </row>
    <row r="23" spans="1:10" ht="12.9" customHeight="1" thickTop="1" x14ac:dyDescent="0.3">
      <c r="A23" s="27"/>
      <c r="B23" s="28" t="s">
        <v>5</v>
      </c>
      <c r="C23" s="25"/>
      <c r="D23" s="20" t="s">
        <v>14</v>
      </c>
      <c r="E23" s="20" t="s">
        <v>15</v>
      </c>
      <c r="F23" s="20" t="s">
        <v>16</v>
      </c>
      <c r="G23" s="20" t="s">
        <v>13</v>
      </c>
      <c r="H23" s="21" t="s">
        <v>17</v>
      </c>
    </row>
    <row r="24" spans="1:10" ht="12.9" customHeight="1" x14ac:dyDescent="0.3">
      <c r="A24" s="27"/>
      <c r="B24" s="29"/>
      <c r="C24" s="23">
        <v>23839</v>
      </c>
      <c r="D24" s="16">
        <f>(J24+2)/4</f>
        <v>40.097499999999997</v>
      </c>
      <c r="E24" s="22">
        <f>INT((D24*1.5)/59.949)*1000+IF((D24*1.5)&gt;=59.949,((D24*1.5)*10-600),10*(D24*1.5))</f>
        <v>1001.4625</v>
      </c>
      <c r="F24" s="22">
        <f>INT((D24*2)/59.949)*1000+IF((D24*2)&gt;=59.949,((D24*2)*10-600),10*(D24*2))</f>
        <v>1201.9499999999998</v>
      </c>
      <c r="G24" s="16">
        <f>D24-2</f>
        <v>38.097499999999997</v>
      </c>
      <c r="H24" s="22">
        <f>INT((D24+G24)/59.949)*1000+IF((D24+G24)&gt;=59.949,((D24+G24)*10-600),10*(D24+G24))</f>
        <v>1181.9499999999998</v>
      </c>
      <c r="J24" s="1">
        <f>INT(C24/10000)*60+(C24-INT(C24/10000)*10000)/100</f>
        <v>158.38999999999999</v>
      </c>
    </row>
    <row r="25" spans="1:10" ht="12.9" customHeight="1" thickBot="1" x14ac:dyDescent="0.35">
      <c r="A25" s="27"/>
      <c r="B25" s="30"/>
      <c r="C25" s="24">
        <v>22009</v>
      </c>
      <c r="D25" s="16">
        <f>(J25+2)/4</f>
        <v>35.522500000000001</v>
      </c>
      <c r="E25" s="22">
        <f>INT((D25*1.5)/59.949)*1000+IF((D25*1.5)&gt;=59.949,((D25*1.5)*10-600),10*(D25*1.5))</f>
        <v>532.83749999999998</v>
      </c>
      <c r="F25" s="22">
        <f>INT((D25*2)/59.949)*1000+IF((D25*2)&gt;=59.949,((D25*2)*10-600),10*(D25*2))</f>
        <v>1110.45</v>
      </c>
      <c r="G25" s="16">
        <f>D25-2</f>
        <v>33.522500000000001</v>
      </c>
      <c r="H25" s="22">
        <f>INT((D25+G25)/59.949)*1000+IF((D25+G25)&gt;=59.949,((D25+G25)*10-600),10*(D25+G25))</f>
        <v>1090.45</v>
      </c>
      <c r="J25" s="1">
        <f>INT(C25/10000)*60+(C25-INT(C25/10000)*10000)/100</f>
        <v>140.09</v>
      </c>
    </row>
    <row r="26" spans="1:10" ht="12.9" customHeight="1" thickTop="1" x14ac:dyDescent="0.3">
      <c r="A26" s="27"/>
      <c r="B26" s="28" t="s">
        <v>4</v>
      </c>
      <c r="C26" s="25"/>
      <c r="D26" s="20" t="s">
        <v>1</v>
      </c>
      <c r="E26" s="20" t="s">
        <v>12</v>
      </c>
      <c r="F26" s="20" t="s">
        <v>13</v>
      </c>
      <c r="G26" s="20" t="s">
        <v>11</v>
      </c>
      <c r="H26" s="21" t="s">
        <v>14</v>
      </c>
    </row>
    <row r="27" spans="1:10" ht="12.9" customHeight="1" x14ac:dyDescent="0.3">
      <c r="A27" s="27"/>
      <c r="B27" s="29"/>
      <c r="C27" s="23">
        <v>11009</v>
      </c>
      <c r="D27" s="14">
        <f>0.6*E27-0.2</f>
        <v>9.8635000000000002</v>
      </c>
      <c r="E27" s="14">
        <f>(J27-3)/4</f>
        <v>16.772500000000001</v>
      </c>
      <c r="F27" s="14">
        <f>(J27-1)/2</f>
        <v>34.545000000000002</v>
      </c>
      <c r="G27" s="14">
        <f>(J27+1)/4</f>
        <v>17.772500000000001</v>
      </c>
      <c r="H27" s="15">
        <f>G27*2</f>
        <v>35.545000000000002</v>
      </c>
      <c r="J27" s="1">
        <f>INT(C27/10000)*60+(C27-INT(C27/10000)*10000)/100</f>
        <v>70.09</v>
      </c>
    </row>
    <row r="28" spans="1:10" ht="12.9" customHeight="1" thickBot="1" x14ac:dyDescent="0.35">
      <c r="A28" s="27"/>
      <c r="B28" s="30"/>
      <c r="C28" s="24">
        <v>105449</v>
      </c>
      <c r="D28" s="14">
        <f>0.6*E28-0.2</f>
        <v>97.523499999999999</v>
      </c>
      <c r="E28" s="14">
        <f>(J28-3)/4</f>
        <v>162.8725</v>
      </c>
      <c r="F28" s="14">
        <f>(J28-1)/2</f>
        <v>326.745</v>
      </c>
      <c r="G28" s="14">
        <f>(J28+1)/4</f>
        <v>163.8725</v>
      </c>
      <c r="H28" s="15">
        <f>G28*2</f>
        <v>327.745</v>
      </c>
      <c r="J28" s="1">
        <f>INT(C28/10000)*60+(C28-INT(C28/10000)*10000)/100</f>
        <v>654.49</v>
      </c>
    </row>
    <row r="29" spans="1:10" ht="12.9" customHeight="1" thickTop="1" x14ac:dyDescent="0.3">
      <c r="A29" s="27"/>
      <c r="B29" s="28" t="s">
        <v>3</v>
      </c>
      <c r="C29" s="25"/>
      <c r="D29" s="20" t="s">
        <v>14</v>
      </c>
      <c r="E29" s="20" t="s">
        <v>15</v>
      </c>
      <c r="F29" s="20" t="s">
        <v>16</v>
      </c>
      <c r="G29" s="20" t="s">
        <v>13</v>
      </c>
      <c r="H29" s="21" t="s">
        <v>17</v>
      </c>
    </row>
    <row r="30" spans="1:10" ht="12.9" customHeight="1" x14ac:dyDescent="0.3">
      <c r="A30" s="27"/>
      <c r="B30" s="29"/>
      <c r="C30" s="23">
        <v>24059</v>
      </c>
      <c r="D30" s="16">
        <f>(J30+1)/4</f>
        <v>40.397500000000001</v>
      </c>
      <c r="E30" s="22">
        <f>INT((D30*1.5)/59.949)*1000+IF((D30*1.5)&gt;=59.949,((D30*1.5)*10-600),10*(D30*1.5))</f>
        <v>1005.9625</v>
      </c>
      <c r="F30" s="22">
        <f>INT((D30*2)/59.949)*1000+IF((D30*2)&gt;=59.949,((D30*2)*10-600),10*(D30*2))</f>
        <v>1207.95</v>
      </c>
      <c r="G30" s="16">
        <f>D30-1</f>
        <v>39.397500000000001</v>
      </c>
      <c r="H30" s="22">
        <f>INT((D30+G30)/59.949)*1000+IF((D30+G30)&gt;=59.949,((D30+G30)*10-600),10*(D30+G30))</f>
        <v>1197.95</v>
      </c>
      <c r="J30" s="1">
        <f>INT(C30/10000)*60+(C30-INT(C30/10000)*10000)/100</f>
        <v>160.59</v>
      </c>
    </row>
    <row r="31" spans="1:10" ht="12.9" customHeight="1" thickBot="1" x14ac:dyDescent="0.35">
      <c r="A31" s="27"/>
      <c r="B31" s="30"/>
      <c r="C31" s="24">
        <v>22209</v>
      </c>
      <c r="D31" s="16">
        <f>(J31+1)/4</f>
        <v>35.772500000000001</v>
      </c>
      <c r="E31" s="22">
        <f>INT((D31*1.5)/59.949)*1000+IF((D31*1.5)&gt;=59.949,((D31*1.5)*10-600),10*(D31*1.5))</f>
        <v>536.58749999999998</v>
      </c>
      <c r="F31" s="22">
        <f>INT((D31*2)/59.949)*1000+IF((D31*2)&gt;=59.949,((D31*2)*10-600),10*(D31*2))</f>
        <v>1115.45</v>
      </c>
      <c r="G31" s="16">
        <f>D31-1</f>
        <v>34.772500000000001</v>
      </c>
      <c r="H31" s="22">
        <f>INT((D31+G31)/59.949)*1000+IF((D31+G31)&gt;=59.949,((D31+G31)*10-600),10*(D31+G31))</f>
        <v>1105.45</v>
      </c>
      <c r="J31" s="1">
        <f>INT(C31/10000)*60+(C31-INT(C31/10000)*10000)/100</f>
        <v>142.09</v>
      </c>
    </row>
    <row r="32" spans="1:10" ht="12.9" customHeight="1" thickTop="1" x14ac:dyDescent="0.3">
      <c r="A32" s="27"/>
      <c r="B32" s="28" t="s">
        <v>2</v>
      </c>
      <c r="C32" s="25"/>
      <c r="D32" s="20" t="s">
        <v>1</v>
      </c>
      <c r="E32" s="20" t="s">
        <v>12</v>
      </c>
      <c r="F32" s="20" t="s">
        <v>13</v>
      </c>
      <c r="G32" s="20" t="s">
        <v>11</v>
      </c>
      <c r="H32" s="21" t="s">
        <v>14</v>
      </c>
    </row>
    <row r="33" spans="1:10" ht="12.9" customHeight="1" x14ac:dyDescent="0.3">
      <c r="A33" s="27"/>
      <c r="B33" s="29"/>
      <c r="C33" s="23">
        <v>12259</v>
      </c>
      <c r="D33" s="14">
        <f>0.6*E33-0.5</f>
        <v>10.763500000000001</v>
      </c>
      <c r="E33" s="14">
        <f>F33-G33</f>
        <v>18.772500000000001</v>
      </c>
      <c r="F33" s="14">
        <f>J33-H33</f>
        <v>40.045000000000002</v>
      </c>
      <c r="G33" s="14">
        <f>(J33+2.5)/4</f>
        <v>21.272500000000001</v>
      </c>
      <c r="H33" s="15">
        <f>G33*2</f>
        <v>42.545000000000002</v>
      </c>
      <c r="J33" s="1">
        <f>INT(C33/10000)*60+(C33-INT(C33/10000)*10000)/100</f>
        <v>82.59</v>
      </c>
    </row>
    <row r="34" spans="1:10" ht="12.9" customHeight="1" thickBot="1" x14ac:dyDescent="0.35">
      <c r="A34" s="27"/>
      <c r="B34" s="30"/>
      <c r="C34" s="24">
        <v>11309</v>
      </c>
      <c r="D34" s="14">
        <f>0.6*E34-0.5</f>
        <v>9.3384999999999998</v>
      </c>
      <c r="E34" s="14">
        <f>F34-G34</f>
        <v>16.397500000000001</v>
      </c>
      <c r="F34" s="14">
        <f>J34-H34</f>
        <v>35.295000000000002</v>
      </c>
      <c r="G34" s="14">
        <f>(J34+2.5)/4</f>
        <v>18.897500000000001</v>
      </c>
      <c r="H34" s="15">
        <f>G34*2</f>
        <v>37.795000000000002</v>
      </c>
      <c r="J34" s="1">
        <f>INT(C34/10000)*60+(C34-INT(C34/10000)*10000)/100</f>
        <v>73.09</v>
      </c>
    </row>
    <row r="35" spans="1:10" ht="12.9" customHeight="1" thickTop="1" x14ac:dyDescent="0.3">
      <c r="A35" s="27"/>
      <c r="B35" s="28" t="s">
        <v>0</v>
      </c>
      <c r="C35" s="25"/>
      <c r="D35" s="20" t="s">
        <v>14</v>
      </c>
      <c r="E35" s="20" t="s">
        <v>15</v>
      </c>
      <c r="F35" s="20" t="s">
        <v>16</v>
      </c>
      <c r="G35" s="20" t="s">
        <v>13</v>
      </c>
      <c r="H35" s="21" t="s">
        <v>17</v>
      </c>
    </row>
    <row r="36" spans="1:10" ht="12.9" customHeight="1" x14ac:dyDescent="0.3">
      <c r="A36" s="27"/>
      <c r="B36" s="29"/>
      <c r="C36" s="23">
        <v>31429</v>
      </c>
      <c r="D36" s="16">
        <f>(J36+2.8)/4</f>
        <v>49.272500000000001</v>
      </c>
      <c r="E36" s="22">
        <f>INT((D36*1.5)/59.949)*1000+IF((D36*1.5)&gt;=59.949,((D36*1.5)*10-600),10*(D36*1.5))</f>
        <v>1139.0875000000001</v>
      </c>
      <c r="F36" s="22">
        <f>INT((D36*2)/59.949)*1000+IF((D36*2)&gt;=59.949,((D36*2)*10-600),10*(D36*2))</f>
        <v>1385.45</v>
      </c>
      <c r="G36" s="16">
        <f>D36-2.8</f>
        <v>46.472500000000004</v>
      </c>
      <c r="H36" s="22">
        <f>INT((D36+G36)/59.949)*1000+IF((D36+G36)&gt;=59.949,((D36+G36)*10-600),10*(D36+G36))</f>
        <v>1357.45</v>
      </c>
      <c r="J36" s="1">
        <f>INT(C36/10000)*60+(C36-INT(C36/10000)*10000)/100</f>
        <v>194.29</v>
      </c>
    </row>
    <row r="37" spans="1:10" ht="12.9" customHeight="1" thickBot="1" x14ac:dyDescent="0.35">
      <c r="A37" s="27"/>
      <c r="B37" s="30"/>
      <c r="C37" s="24">
        <v>24649</v>
      </c>
      <c r="D37" s="16">
        <f>(J37+2.8)/4</f>
        <v>42.322500000000005</v>
      </c>
      <c r="E37" s="22">
        <f>INT((D37*1.5)/59.949)*1000+IF((D37*1.5)&gt;=59.949,((D37*1.5)*10-600),10*(D37*1.5))</f>
        <v>1034.8375000000001</v>
      </c>
      <c r="F37" s="22">
        <f>INT((D37*2)/59.949)*1000+IF((D37*2)&gt;=59.949,((D37*2)*10-600),10*(D37*2))</f>
        <v>1246.45</v>
      </c>
      <c r="G37" s="16">
        <f>D37-2.8</f>
        <v>39.522500000000008</v>
      </c>
      <c r="H37" s="22">
        <f>INT((D37+G37)/59.949)*1000+IF((D37+G37)&gt;=59.949,((D37+G37)*10-600),10*(D37+G37))</f>
        <v>1218.4500000000003</v>
      </c>
      <c r="J37" s="1">
        <f>INT(C37/10000)*60+(C37-INT(C37/10000)*10000)/100</f>
        <v>166.49</v>
      </c>
    </row>
    <row r="38" spans="1:10" ht="16.2" thickTop="1" x14ac:dyDescent="0.3">
      <c r="A38" s="9"/>
      <c r="B38" s="8"/>
      <c r="C38" s="7"/>
      <c r="D38" s="6"/>
      <c r="E38" s="6"/>
      <c r="F38" s="6"/>
      <c r="G38" s="6"/>
      <c r="H38" s="6"/>
    </row>
  </sheetData>
  <mergeCells count="13">
    <mergeCell ref="A1:A37"/>
    <mergeCell ref="B2:B4"/>
    <mergeCell ref="B5:B7"/>
    <mergeCell ref="B8:B10"/>
    <mergeCell ref="B11:B13"/>
    <mergeCell ref="B14:B16"/>
    <mergeCell ref="B17:B19"/>
    <mergeCell ref="B29:B31"/>
    <mergeCell ref="B35:B37"/>
    <mergeCell ref="B32:B34"/>
    <mergeCell ref="B20:B22"/>
    <mergeCell ref="B23:B25"/>
    <mergeCell ref="B26:B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Swimmer 1</vt:lpstr>
      <vt:lpstr>'Swimmer 1'!Criteria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Woodruff</dc:creator>
  <cp:lastModifiedBy>Lisa</cp:lastModifiedBy>
  <cp:lastPrinted>2017-05-27T20:49:21Z</cp:lastPrinted>
  <dcterms:created xsi:type="dcterms:W3CDTF">2009-11-30T02:44:45Z</dcterms:created>
  <dcterms:modified xsi:type="dcterms:W3CDTF">2017-06-20T13:38:17Z</dcterms:modified>
</cp:coreProperties>
</file>